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ackson026\Documents\Daves\"/>
    </mc:Choice>
  </mc:AlternateContent>
  <bookViews>
    <workbookView xWindow="0" yWindow="0" windowWidth="24000" windowHeight="9135"/>
  </bookViews>
  <sheets>
    <sheet name="Budget to Actual" sheetId="1" r:id="rId1"/>
  </sheets>
  <calcPr calcId="152511"/>
</workbook>
</file>

<file path=xl/calcChain.xml><?xml version="1.0" encoding="utf-8"?>
<calcChain xmlns="http://schemas.openxmlformats.org/spreadsheetml/2006/main">
  <c r="D61" i="1" l="1"/>
  <c r="D56" i="1"/>
  <c r="C47" i="1"/>
  <c r="E47" i="1" s="1"/>
  <c r="E68" i="1"/>
  <c r="E60" i="1"/>
  <c r="E59" i="1"/>
  <c r="E58" i="1"/>
  <c r="C62" i="1"/>
  <c r="E62" i="1" s="1"/>
  <c r="D90" i="1"/>
  <c r="D41" i="1"/>
  <c r="C38" i="1"/>
  <c r="E38" i="1" s="1"/>
  <c r="D70" i="1"/>
  <c r="E55" i="1"/>
  <c r="E53" i="1"/>
  <c r="E52" i="1"/>
  <c r="E51" i="1"/>
  <c r="E50" i="1"/>
  <c r="E46" i="1"/>
  <c r="D76" i="1"/>
  <c r="E75" i="1"/>
  <c r="E74" i="1"/>
  <c r="E73" i="1"/>
  <c r="E89" i="1"/>
  <c r="E86" i="1"/>
  <c r="E83" i="1"/>
  <c r="E39" i="1"/>
  <c r="E9" i="1"/>
  <c r="D21" i="1"/>
  <c r="D22" i="1" s="1"/>
  <c r="C41" i="1" l="1"/>
  <c r="D80" i="1"/>
  <c r="D91" i="1" s="1"/>
  <c r="D33" i="1"/>
  <c r="D26" i="1"/>
  <c r="C88" i="1"/>
  <c r="E88" i="1" s="1"/>
  <c r="C87" i="1"/>
  <c r="E87" i="1" s="1"/>
  <c r="C85" i="1"/>
  <c r="E85" i="1" s="1"/>
  <c r="C84" i="1"/>
  <c r="E84" i="1" s="1"/>
  <c r="C82" i="1"/>
  <c r="C79" i="1"/>
  <c r="E79" i="1" s="1"/>
  <c r="C78" i="1"/>
  <c r="E78" i="1" s="1"/>
  <c r="C72" i="1"/>
  <c r="C69" i="1"/>
  <c r="E69" i="1" s="1"/>
  <c r="C67" i="1"/>
  <c r="E67" i="1" s="1"/>
  <c r="C66" i="1"/>
  <c r="E66" i="1" s="1"/>
  <c r="C65" i="1"/>
  <c r="E65" i="1" s="1"/>
  <c r="C64" i="1"/>
  <c r="E64" i="1" s="1"/>
  <c r="C63" i="1"/>
  <c r="E63" i="1" s="1"/>
  <c r="C61" i="1"/>
  <c r="E61" i="1" s="1"/>
  <c r="C54" i="1"/>
  <c r="E54" i="1" s="1"/>
  <c r="C49" i="1"/>
  <c r="E49" i="1" s="1"/>
  <c r="C48" i="1"/>
  <c r="E48" i="1" s="1"/>
  <c r="C34" i="1"/>
  <c r="C32" i="1"/>
  <c r="E32" i="1" s="1"/>
  <c r="C31" i="1"/>
  <c r="E31" i="1" s="1"/>
  <c r="C29" i="1"/>
  <c r="E29" i="1" s="1"/>
  <c r="C28" i="1"/>
  <c r="C25" i="1"/>
  <c r="E25" i="1" s="1"/>
  <c r="C23" i="1"/>
  <c r="E23" i="1" s="1"/>
  <c r="C20" i="1"/>
  <c r="E20" i="1" s="1"/>
  <c r="C19" i="1"/>
  <c r="C16" i="1"/>
  <c r="C15" i="1"/>
  <c r="C13" i="1"/>
  <c r="C12" i="1"/>
  <c r="C11" i="1"/>
  <c r="C10" i="1"/>
  <c r="D35" i="1" l="1"/>
  <c r="D42" i="1" s="1"/>
  <c r="C56" i="1"/>
  <c r="E56" i="1" s="1"/>
  <c r="E82" i="1"/>
  <c r="C90" i="1"/>
  <c r="C80" i="1"/>
  <c r="E80" i="1" s="1"/>
  <c r="C26" i="1"/>
  <c r="E26" i="1" s="1"/>
  <c r="C14" i="1"/>
  <c r="C21" i="1"/>
  <c r="E21" i="1" s="1"/>
  <c r="C30" i="1"/>
  <c r="E28" i="1"/>
  <c r="E34" i="1"/>
  <c r="C70" i="1"/>
  <c r="E70" i="1" s="1"/>
  <c r="C76" i="1"/>
  <c r="E76" i="1" s="1"/>
  <c r="E72" i="1"/>
  <c r="C17" i="1"/>
  <c r="E17" i="1" s="1"/>
  <c r="C91" i="1" l="1"/>
  <c r="E91" i="1" s="1"/>
  <c r="E90" i="1"/>
  <c r="C33" i="1"/>
  <c r="E30" i="1"/>
  <c r="C22" i="1"/>
  <c r="E22" i="1" s="1"/>
  <c r="E14" i="1"/>
  <c r="E40" i="1"/>
  <c r="E41" i="1" l="1"/>
  <c r="E33" i="1"/>
  <c r="C35" i="1"/>
  <c r="E35" i="1" s="1"/>
  <c r="D92" i="1"/>
  <c r="D93" i="1" s="1"/>
  <c r="C42" i="1" l="1"/>
  <c r="C92" i="1" l="1"/>
  <c r="E42" i="1"/>
  <c r="C93" i="1" l="1"/>
  <c r="E93" i="1" s="1"/>
  <c r="E92" i="1"/>
</calcChain>
</file>

<file path=xl/sharedStrings.xml><?xml version="1.0" encoding="utf-8"?>
<sst xmlns="http://schemas.openxmlformats.org/spreadsheetml/2006/main" count="97" uniqueCount="92">
  <si>
    <t>Income</t>
  </si>
  <si>
    <t xml:space="preserve">   4000 Fundraisers</t>
  </si>
  <si>
    <t xml:space="preserve">      4200 Adult Event</t>
  </si>
  <si>
    <t xml:space="preserve">         4210 Adult Event - Live Auction</t>
  </si>
  <si>
    <t xml:space="preserve">         4216 Adult Event- Sign Up Parties</t>
  </si>
  <si>
    <t xml:space="preserve">         4230 Adult Event- Prior Year Income</t>
  </si>
  <si>
    <t xml:space="preserve">      Total 4200 Adult Event</t>
  </si>
  <si>
    <t xml:space="preserve">      4300 Annual Giving - One Checks</t>
  </si>
  <si>
    <t xml:space="preserve">         4310 Matching One Check</t>
  </si>
  <si>
    <t xml:space="preserve">      Total 4300 Annual Giving - One Checks</t>
  </si>
  <si>
    <t xml:space="preserve">      4400 Merchant Rebates</t>
  </si>
  <si>
    <t xml:space="preserve">         4410 Amazon</t>
  </si>
  <si>
    <t xml:space="preserve">         4415 eSCRIP</t>
  </si>
  <si>
    <t xml:space="preserve">      Total 4400 Merchant Rebates</t>
  </si>
  <si>
    <t xml:space="preserve">   Total 4000 Fundraisers</t>
  </si>
  <si>
    <t xml:space="preserve">   4320 Sponsorships</t>
  </si>
  <si>
    <t xml:space="preserve">   4500 Community Building Income</t>
  </si>
  <si>
    <t xml:space="preserve">      4550 Spirit Wear Sales</t>
  </si>
  <si>
    <t xml:space="preserve">   Total 4500 Community Building Income</t>
  </si>
  <si>
    <t xml:space="preserve">   4600 Operations/Community</t>
  </si>
  <si>
    <t xml:space="preserve">      4620 Play</t>
  </si>
  <si>
    <t xml:space="preserve">         4625 Play - Participation Fees</t>
  </si>
  <si>
    <t xml:space="preserve">      Total 4620 Play</t>
  </si>
  <si>
    <t xml:space="preserve">      4630 Daves Friday Running Club</t>
  </si>
  <si>
    <t xml:space="preserve">      4640 Memory Book</t>
  </si>
  <si>
    <t xml:space="preserve">   Total 4600 Operations/Community</t>
  </si>
  <si>
    <t xml:space="preserve">   4700 Interest Earned</t>
  </si>
  <si>
    <t>Total Income</t>
  </si>
  <si>
    <t>Cost of Goods Sold</t>
  </si>
  <si>
    <t xml:space="preserve">      5510 Carnival</t>
  </si>
  <si>
    <t xml:space="preserve">      5620 Play</t>
  </si>
  <si>
    <t>Total Cost of Goods Sold</t>
  </si>
  <si>
    <t>Gross Profit</t>
  </si>
  <si>
    <t>Expenses</t>
  </si>
  <si>
    <t xml:space="preserve">   6000 Programs &amp; Events</t>
  </si>
  <si>
    <t xml:space="preserve">   Total 6000 Programs &amp; Events</t>
  </si>
  <si>
    <t xml:space="preserve">   7000 H&amp;SC Grants to LGUSD</t>
  </si>
  <si>
    <t xml:space="preserve">      7030 Math Support</t>
  </si>
  <si>
    <t xml:space="preserve">      7050 Grade Level Grants</t>
  </si>
  <si>
    <t xml:space="preserve">      7060 Grade Level Science</t>
  </si>
  <si>
    <t xml:space="preserve">      7080 PE Equipment</t>
  </si>
  <si>
    <t xml:space="preserve">      7090 School Supplies</t>
  </si>
  <si>
    <t xml:space="preserve">   Total 7000 H&amp;SC Grants to LGUSD</t>
  </si>
  <si>
    <t xml:space="preserve">   8000 Third Party Grants</t>
  </si>
  <si>
    <t xml:space="preserve">      8010 Grant - Parent Education</t>
  </si>
  <si>
    <t xml:space="preserve">   Total 8000 Third Party Grants</t>
  </si>
  <si>
    <t xml:space="preserve">      8510 Clay</t>
  </si>
  <si>
    <t xml:space="preserve">   9000 H&amp;SC Operating Expenses</t>
  </si>
  <si>
    <t xml:space="preserve">      9010 Teacher / HSC Hospitality</t>
  </si>
  <si>
    <t xml:space="preserve">      9030 Insurance</t>
  </si>
  <si>
    <t xml:space="preserve">      9040 On-Line Expense - Software</t>
  </si>
  <si>
    <t xml:space="preserve">      9070 President's Fund</t>
  </si>
  <si>
    <t xml:space="preserve">   Total 9000 H&amp;SC Operating Expenses</t>
  </si>
  <si>
    <t>Total Expenses</t>
  </si>
  <si>
    <t>Net Operating Income</t>
  </si>
  <si>
    <t>Net Income</t>
  </si>
  <si>
    <t>Daves Avenue Home &amp; School Club</t>
  </si>
  <si>
    <t>Actual</t>
  </si>
  <si>
    <t>Budget</t>
  </si>
  <si>
    <t>Budget v Actual</t>
  </si>
  <si>
    <t>Q1 (August-October) v Budget</t>
  </si>
  <si>
    <t>N/A</t>
  </si>
  <si>
    <t xml:space="preserve">      4100 Fun Walk</t>
  </si>
  <si>
    <t>Variance</t>
  </si>
  <si>
    <t xml:space="preserve">      9060 H&amp;SC Marketing</t>
  </si>
  <si>
    <t xml:space="preserve">      9080 Accouting / Audit</t>
  </si>
  <si>
    <t xml:space="preserve">      9050 Operating Supplies</t>
  </si>
  <si>
    <t xml:space="preserve">      9020 Bank Fees</t>
  </si>
  <si>
    <t xml:space="preserve">   Total 8500 Other Programs &amp; Events</t>
  </si>
  <si>
    <t xml:space="preserve">      8520 FunVisors Supplies</t>
  </si>
  <si>
    <t xml:space="preserve">      7120 Scholarship - Field Trips / Camps</t>
  </si>
  <si>
    <t xml:space="preserve">      8040 Grant - CASA</t>
  </si>
  <si>
    <t xml:space="preserve">      8030 Grant - Cornerstone</t>
  </si>
  <si>
    <t xml:space="preserve">      8020 Grant - Art Docents</t>
  </si>
  <si>
    <t xml:space="preserve">      7010 PE Support</t>
  </si>
  <si>
    <t xml:space="preserve">      7020 Literary Support</t>
  </si>
  <si>
    <t xml:space="preserve">      7100 Grade Level Technology</t>
  </si>
  <si>
    <t xml:space="preserve">      7004 Health Clerk</t>
  </si>
  <si>
    <t xml:space="preserve">      5650 Comfort Kits</t>
  </si>
  <si>
    <t xml:space="preserve">      7040 Classroom Grants</t>
  </si>
  <si>
    <t xml:space="preserve">      6010 Authors Day</t>
  </si>
  <si>
    <t xml:space="preserve">      6070 Green Team</t>
  </si>
  <si>
    <t xml:space="preserve">      6061 Safe Routes to School</t>
  </si>
  <si>
    <t xml:space="preserve">      6060 Walk and Roll</t>
  </si>
  <si>
    <t xml:space="preserve">      6050 Assemblies</t>
  </si>
  <si>
    <t xml:space="preserve">      6040 Math Events</t>
  </si>
  <si>
    <t xml:space="preserve">      6030 5th Grade YE Event</t>
  </si>
  <si>
    <t xml:space="preserve">      6224 Ice Cream Social</t>
  </si>
  <si>
    <t xml:space="preserve">      6221 Family Fun Night</t>
  </si>
  <si>
    <t xml:space="preserve">      6222 Moms Night Out</t>
  </si>
  <si>
    <t xml:space="preserve">   8500 Other Programs &amp; Events</t>
  </si>
  <si>
    <t xml:space="preserve">      7070 Grants -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</si>
</sst>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_);_(* 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39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7" xfId="0" applyFont="1" applyBorder="1"/>
    <xf numFmtId="0" fontId="3" fillId="0" borderId="9" xfId="0" applyFont="1" applyBorder="1"/>
    <xf numFmtId="0" fontId="2" fillId="0" borderId="8" xfId="0" applyFont="1" applyBorder="1" applyAlignment="1">
      <alignment horizontal="left" wrapText="1"/>
    </xf>
    <xf numFmtId="39" fontId="2" fillId="0" borderId="9" xfId="0" applyNumberFormat="1" applyFont="1" applyBorder="1"/>
    <xf numFmtId="39" fontId="3" fillId="0" borderId="9" xfId="0" applyNumberFormat="1" applyFont="1" applyBorder="1" applyAlignment="1">
      <alignment horizontal="right"/>
    </xf>
    <xf numFmtId="39" fontId="3" fillId="0" borderId="12" xfId="0" applyNumberFormat="1" applyFont="1" applyBorder="1" applyAlignment="1">
      <alignment horizontal="right"/>
    </xf>
    <xf numFmtId="39" fontId="3" fillId="0" borderId="9" xfId="0" applyNumberFormat="1" applyFont="1" applyBorder="1"/>
    <xf numFmtId="39" fontId="3" fillId="0" borderId="12" xfId="0" applyNumberFormat="1" applyFont="1" applyBorder="1"/>
    <xf numFmtId="39" fontId="2" fillId="0" borderId="13" xfId="0" applyNumberFormat="1" applyFont="1" applyBorder="1"/>
    <xf numFmtId="39" fontId="2" fillId="0" borderId="0" xfId="0" applyNumberFormat="1" applyFont="1" applyBorder="1" applyAlignment="1">
      <alignment horizontal="right" wrapText="1"/>
    </xf>
    <xf numFmtId="44" fontId="2" fillId="0" borderId="0" xfId="1" applyFont="1" applyBorder="1" applyAlignment="1">
      <alignment horizontal="right" wrapText="1"/>
    </xf>
    <xf numFmtId="44" fontId="2" fillId="0" borderId="0" xfId="1" applyFont="1" applyFill="1" applyBorder="1" applyAlignment="1">
      <alignment horizontal="right" wrapText="1"/>
    </xf>
    <xf numFmtId="39" fontId="2" fillId="0" borderId="1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39" fontId="3" fillId="0" borderId="6" xfId="0" applyNumberFormat="1" applyFont="1" applyBorder="1" applyAlignment="1">
      <alignment wrapText="1"/>
    </xf>
    <xf numFmtId="39" fontId="3" fillId="0" borderId="0" xfId="0" applyNumberFormat="1" applyFont="1" applyBorder="1" applyAlignment="1">
      <alignment wrapText="1"/>
    </xf>
    <xf numFmtId="39" fontId="3" fillId="0" borderId="0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39" fontId="3" fillId="0" borderId="1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164" fontId="2" fillId="0" borderId="14" xfId="0" applyNumberFormat="1" applyFont="1" applyBorder="1" applyAlignment="1">
      <alignment horizontal="right" wrapText="1"/>
    </xf>
    <xf numFmtId="39" fontId="3" fillId="0" borderId="0" xfId="0" applyNumberFormat="1" applyFont="1" applyFill="1" applyBorder="1" applyAlignment="1">
      <alignment wrapText="1"/>
    </xf>
    <xf numFmtId="39" fontId="3" fillId="0" borderId="0" xfId="0" applyNumberFormat="1" applyFont="1" applyFill="1" applyBorder="1" applyAlignment="1">
      <alignment horizontal="right" wrapText="1"/>
    </xf>
    <xf numFmtId="39" fontId="3" fillId="0" borderId="1" xfId="0" applyNumberFormat="1" applyFont="1" applyFill="1" applyBorder="1" applyAlignment="1">
      <alignment horizontal="right" wrapText="1"/>
    </xf>
    <xf numFmtId="39" fontId="3" fillId="0" borderId="0" xfId="0" applyNumberFormat="1" applyFont="1" applyAlignment="1">
      <alignment wrapText="1"/>
    </xf>
    <xf numFmtId="39" fontId="3" fillId="0" borderId="7" xfId="0" applyNumberFormat="1" applyFont="1" applyBorder="1"/>
    <xf numFmtId="39" fontId="2" fillId="0" borderId="12" xfId="0" applyNumberFormat="1" applyFont="1" applyBorder="1"/>
    <xf numFmtId="39" fontId="2" fillId="0" borderId="1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tabSelected="1" workbookViewId="0"/>
  </sheetViews>
  <sheetFormatPr defaultRowHeight="11.25" x14ac:dyDescent="0.2"/>
  <cols>
    <col min="1" max="1" width="1.5703125" style="2" customWidth="1"/>
    <col min="2" max="2" width="33.42578125" style="2" customWidth="1"/>
    <col min="3" max="5" width="15.7109375" style="2" customWidth="1"/>
    <col min="6" max="16384" width="9.140625" style="2"/>
  </cols>
  <sheetData>
    <row r="1" spans="2:5" ht="12" thickBot="1" x14ac:dyDescent="0.25"/>
    <row r="2" spans="2:5" x14ac:dyDescent="0.2">
      <c r="B2" s="40" t="s">
        <v>56</v>
      </c>
      <c r="C2" s="41"/>
      <c r="D2" s="41"/>
      <c r="E2" s="42"/>
    </row>
    <row r="3" spans="2:5" x14ac:dyDescent="0.2">
      <c r="B3" s="43" t="s">
        <v>59</v>
      </c>
      <c r="C3" s="44"/>
      <c r="D3" s="44"/>
      <c r="E3" s="45"/>
    </row>
    <row r="4" spans="2:5" ht="12" thickBot="1" x14ac:dyDescent="0.25">
      <c r="B4" s="46" t="s">
        <v>60</v>
      </c>
      <c r="C4" s="47"/>
      <c r="D4" s="47"/>
      <c r="E4" s="48"/>
    </row>
    <row r="5" spans="2:5" x14ac:dyDescent="0.2">
      <c r="B5" s="20"/>
      <c r="C5" s="21"/>
      <c r="D5" s="21"/>
      <c r="E5" s="5"/>
    </row>
    <row r="6" spans="2:5" ht="12" thickBot="1" x14ac:dyDescent="0.25">
      <c r="B6" s="22"/>
      <c r="C6" s="19" t="s">
        <v>57</v>
      </c>
      <c r="D6" s="19" t="s">
        <v>58</v>
      </c>
      <c r="E6" s="18" t="s">
        <v>63</v>
      </c>
    </row>
    <row r="7" spans="2:5" x14ac:dyDescent="0.2">
      <c r="B7" s="23" t="s">
        <v>0</v>
      </c>
      <c r="C7" s="24"/>
      <c r="D7" s="24"/>
      <c r="E7" s="5"/>
    </row>
    <row r="8" spans="2:5" x14ac:dyDescent="0.2">
      <c r="B8" s="7" t="s">
        <v>1</v>
      </c>
      <c r="C8" s="25"/>
      <c r="D8" s="25"/>
      <c r="E8" s="6"/>
    </row>
    <row r="9" spans="2:5" x14ac:dyDescent="0.2">
      <c r="B9" s="7" t="s">
        <v>62</v>
      </c>
      <c r="C9" s="3">
        <v>0</v>
      </c>
      <c r="D9" s="3">
        <v>15000</v>
      </c>
      <c r="E9" s="8">
        <f>C9-D9</f>
        <v>-15000</v>
      </c>
    </row>
    <row r="10" spans="2:5" x14ac:dyDescent="0.2">
      <c r="B10" s="7" t="s">
        <v>2</v>
      </c>
      <c r="C10" s="26">
        <f>-3000</f>
        <v>-3000</v>
      </c>
      <c r="D10" s="26">
        <v>0</v>
      </c>
      <c r="E10" s="9" t="s">
        <v>61</v>
      </c>
    </row>
    <row r="11" spans="2:5" x14ac:dyDescent="0.2">
      <c r="B11" s="7" t="s">
        <v>3</v>
      </c>
      <c r="C11" s="26">
        <f>-38.07</f>
        <v>-38.07</v>
      </c>
      <c r="D11" s="26">
        <v>0</v>
      </c>
      <c r="E11" s="9" t="s">
        <v>61</v>
      </c>
    </row>
    <row r="12" spans="2:5" x14ac:dyDescent="0.2">
      <c r="B12" s="7" t="s">
        <v>4</v>
      </c>
      <c r="C12" s="26">
        <f>150</f>
        <v>150</v>
      </c>
      <c r="D12" s="26">
        <v>0</v>
      </c>
      <c r="E12" s="9" t="s">
        <v>61</v>
      </c>
    </row>
    <row r="13" spans="2:5" x14ac:dyDescent="0.2">
      <c r="B13" s="7" t="s">
        <v>5</v>
      </c>
      <c r="C13" s="26">
        <f>6750.95</f>
        <v>6750.95</v>
      </c>
      <c r="D13" s="26">
        <v>0</v>
      </c>
      <c r="E13" s="10" t="s">
        <v>61</v>
      </c>
    </row>
    <row r="14" spans="2:5" x14ac:dyDescent="0.2">
      <c r="B14" s="7" t="s">
        <v>6</v>
      </c>
      <c r="C14" s="27">
        <f>(((C10)+(C11))+(C12))+(C13)</f>
        <v>3862.8799999999997</v>
      </c>
      <c r="D14" s="27">
        <v>65000</v>
      </c>
      <c r="E14" s="8">
        <f t="shared" ref="E14:E42" si="0">C14-D14</f>
        <v>-61137.120000000003</v>
      </c>
    </row>
    <row r="15" spans="2:5" x14ac:dyDescent="0.2">
      <c r="B15" s="7" t="s">
        <v>7</v>
      </c>
      <c r="C15" s="26">
        <f>163240.65</f>
        <v>163240.65</v>
      </c>
      <c r="D15" s="26">
        <v>0</v>
      </c>
      <c r="E15" s="9" t="s">
        <v>61</v>
      </c>
    </row>
    <row r="16" spans="2:5" x14ac:dyDescent="0.2">
      <c r="B16" s="7" t="s">
        <v>8</v>
      </c>
      <c r="C16" s="26">
        <f>2647.2</f>
        <v>2647.2</v>
      </c>
      <c r="D16" s="26">
        <v>0</v>
      </c>
      <c r="E16" s="10" t="s">
        <v>61</v>
      </c>
    </row>
    <row r="17" spans="2:5" x14ac:dyDescent="0.2">
      <c r="B17" s="7" t="s">
        <v>9</v>
      </c>
      <c r="C17" s="27">
        <f>(C15)+(C16)</f>
        <v>165887.85</v>
      </c>
      <c r="D17" s="27">
        <v>160000</v>
      </c>
      <c r="E17" s="8">
        <f t="shared" si="0"/>
        <v>5887.8500000000058</v>
      </c>
    </row>
    <row r="18" spans="2:5" x14ac:dyDescent="0.2">
      <c r="B18" s="7" t="s">
        <v>10</v>
      </c>
      <c r="C18" s="25"/>
      <c r="D18" s="25"/>
      <c r="E18" s="11"/>
    </row>
    <row r="19" spans="2:5" x14ac:dyDescent="0.2">
      <c r="B19" s="7" t="s">
        <v>11</v>
      </c>
      <c r="C19" s="26">
        <f>22.91</f>
        <v>22.91</v>
      </c>
      <c r="D19" s="26">
        <v>0</v>
      </c>
      <c r="E19" s="11">
        <v>22.91</v>
      </c>
    </row>
    <row r="20" spans="2:5" x14ac:dyDescent="0.2">
      <c r="B20" s="7" t="s">
        <v>12</v>
      </c>
      <c r="C20" s="28">
        <f>2381.56</f>
        <v>2381.56</v>
      </c>
      <c r="D20" s="28">
        <v>4119</v>
      </c>
      <c r="E20" s="12">
        <f t="shared" si="0"/>
        <v>-1737.44</v>
      </c>
    </row>
    <row r="21" spans="2:5" x14ac:dyDescent="0.2">
      <c r="B21" s="7" t="s">
        <v>13</v>
      </c>
      <c r="C21" s="29">
        <f>((C18)+(C19))+(C20)</f>
        <v>2404.4699999999998</v>
      </c>
      <c r="D21" s="29">
        <f>D20</f>
        <v>4119</v>
      </c>
      <c r="E21" s="13">
        <f t="shared" si="0"/>
        <v>-1714.5300000000002</v>
      </c>
    </row>
    <row r="22" spans="2:5" x14ac:dyDescent="0.2">
      <c r="B22" s="7" t="s">
        <v>14</v>
      </c>
      <c r="C22" s="30">
        <f>(((C9)+(C14))+(C17))+(C21)</f>
        <v>172155.2</v>
      </c>
      <c r="D22" s="30">
        <f>(((D9)+(D14))+(D17))+(D21)</f>
        <v>244119</v>
      </c>
      <c r="E22" s="8">
        <f t="shared" si="0"/>
        <v>-71963.799999999988</v>
      </c>
    </row>
    <row r="23" spans="2:5" x14ac:dyDescent="0.2">
      <c r="B23" s="7" t="s">
        <v>15</v>
      </c>
      <c r="C23" s="14">
        <f>26680.63</f>
        <v>26680.63</v>
      </c>
      <c r="D23" s="14">
        <v>26000</v>
      </c>
      <c r="E23" s="8">
        <f t="shared" si="0"/>
        <v>680.63000000000102</v>
      </c>
    </row>
    <row r="24" spans="2:5" x14ac:dyDescent="0.2">
      <c r="B24" s="7" t="s">
        <v>16</v>
      </c>
      <c r="C24" s="25"/>
      <c r="D24" s="25"/>
      <c r="E24" s="11"/>
    </row>
    <row r="25" spans="2:5" x14ac:dyDescent="0.2">
      <c r="B25" s="7" t="s">
        <v>17</v>
      </c>
      <c r="C25" s="26">
        <f>691.57</f>
        <v>691.57</v>
      </c>
      <c r="D25" s="26">
        <v>0</v>
      </c>
      <c r="E25" s="12">
        <f t="shared" si="0"/>
        <v>691.57</v>
      </c>
    </row>
    <row r="26" spans="2:5" x14ac:dyDescent="0.2">
      <c r="B26" s="7" t="s">
        <v>18</v>
      </c>
      <c r="C26" s="27">
        <f>(C24)+(C25)</f>
        <v>691.57</v>
      </c>
      <c r="D26" s="27">
        <f>(D24)+(D25)</f>
        <v>0</v>
      </c>
      <c r="E26" s="8">
        <f t="shared" si="0"/>
        <v>691.57</v>
      </c>
    </row>
    <row r="27" spans="2:5" x14ac:dyDescent="0.2">
      <c r="B27" s="7" t="s">
        <v>19</v>
      </c>
      <c r="C27" s="25"/>
      <c r="D27" s="25"/>
      <c r="E27" s="11"/>
    </row>
    <row r="28" spans="2:5" x14ac:dyDescent="0.2">
      <c r="B28" s="7" t="s">
        <v>20</v>
      </c>
      <c r="C28" s="26">
        <f>3199.68</f>
        <v>3199.68</v>
      </c>
      <c r="D28" s="26">
        <v>0</v>
      </c>
      <c r="E28" s="11">
        <f t="shared" si="0"/>
        <v>3199.68</v>
      </c>
    </row>
    <row r="29" spans="2:5" x14ac:dyDescent="0.2">
      <c r="B29" s="7" t="s">
        <v>21</v>
      </c>
      <c r="C29" s="26">
        <f>12726.1</f>
        <v>12726.1</v>
      </c>
      <c r="D29" s="26">
        <v>0</v>
      </c>
      <c r="E29" s="12">
        <f t="shared" si="0"/>
        <v>12726.1</v>
      </c>
    </row>
    <row r="30" spans="2:5" x14ac:dyDescent="0.2">
      <c r="B30" s="7" t="s">
        <v>22</v>
      </c>
      <c r="C30" s="27">
        <f>(C28)+(C29)</f>
        <v>15925.78</v>
      </c>
      <c r="D30" s="27">
        <v>0</v>
      </c>
      <c r="E30" s="8">
        <f t="shared" si="0"/>
        <v>15925.78</v>
      </c>
    </row>
    <row r="31" spans="2:5" x14ac:dyDescent="0.2">
      <c r="B31" s="7" t="s">
        <v>23</v>
      </c>
      <c r="C31" s="26">
        <f>2321.88</f>
        <v>2321.88</v>
      </c>
      <c r="D31" s="26">
        <v>3000</v>
      </c>
      <c r="E31" s="11">
        <f t="shared" si="0"/>
        <v>-678.11999999999989</v>
      </c>
    </row>
    <row r="32" spans="2:5" x14ac:dyDescent="0.2">
      <c r="B32" s="7" t="s">
        <v>24</v>
      </c>
      <c r="C32" s="26">
        <f>40</f>
        <v>40</v>
      </c>
      <c r="D32" s="26">
        <v>0</v>
      </c>
      <c r="E32" s="12">
        <f t="shared" si="0"/>
        <v>40</v>
      </c>
    </row>
    <row r="33" spans="2:5" x14ac:dyDescent="0.2">
      <c r="B33" s="7" t="s">
        <v>25</v>
      </c>
      <c r="C33" s="27">
        <f>(((C27)+(C30))+(C31))+(C32)</f>
        <v>18287.66</v>
      </c>
      <c r="D33" s="27">
        <f>(((D27)+(D30))+(D31))+(D32)</f>
        <v>3000</v>
      </c>
      <c r="E33" s="8">
        <f t="shared" si="0"/>
        <v>15287.66</v>
      </c>
    </row>
    <row r="34" spans="2:5" x14ac:dyDescent="0.2">
      <c r="B34" s="7" t="s">
        <v>26</v>
      </c>
      <c r="C34" s="26">
        <f>2.81</f>
        <v>2.81</v>
      </c>
      <c r="D34" s="26">
        <v>200</v>
      </c>
      <c r="E34" s="12">
        <f t="shared" si="0"/>
        <v>-197.19</v>
      </c>
    </row>
    <row r="35" spans="2:5" ht="12" thickBot="1" x14ac:dyDescent="0.25">
      <c r="B35" s="31" t="s">
        <v>27</v>
      </c>
      <c r="C35" s="32">
        <f>C34+C33+C30+C26+C23+C22</f>
        <v>233743.65000000002</v>
      </c>
      <c r="D35" s="32">
        <f>D34+D33+D30+D26+D23+D22</f>
        <v>273319</v>
      </c>
      <c r="E35" s="17">
        <f>C35-D35</f>
        <v>-39575.349999999977</v>
      </c>
    </row>
    <row r="36" spans="2:5" ht="12" thickBot="1" x14ac:dyDescent="0.25">
      <c r="B36" s="7"/>
      <c r="C36" s="30"/>
      <c r="D36" s="30"/>
      <c r="E36" s="8"/>
    </row>
    <row r="37" spans="2:5" x14ac:dyDescent="0.2">
      <c r="B37" s="23" t="s">
        <v>28</v>
      </c>
      <c r="C37" s="24"/>
      <c r="D37" s="24"/>
      <c r="E37" s="37"/>
    </row>
    <row r="38" spans="2:5" x14ac:dyDescent="0.2">
      <c r="B38" s="7" t="s">
        <v>29</v>
      </c>
      <c r="C38" s="26">
        <f>2645</f>
        <v>2645</v>
      </c>
      <c r="D38" s="26">
        <v>2000</v>
      </c>
      <c r="E38" s="11">
        <f t="shared" si="0"/>
        <v>645</v>
      </c>
    </row>
    <row r="39" spans="2:5" x14ac:dyDescent="0.2">
      <c r="B39" s="7" t="s">
        <v>30</v>
      </c>
      <c r="C39" s="25">
        <v>383</v>
      </c>
      <c r="D39" s="25">
        <v>0</v>
      </c>
      <c r="E39" s="11">
        <f t="shared" si="0"/>
        <v>383</v>
      </c>
    </row>
    <row r="40" spans="2:5" x14ac:dyDescent="0.2">
      <c r="B40" s="7" t="s">
        <v>78</v>
      </c>
      <c r="C40" s="25">
        <v>0</v>
      </c>
      <c r="D40" s="25">
        <v>1000</v>
      </c>
      <c r="E40" s="11">
        <f t="shared" si="0"/>
        <v>-1000</v>
      </c>
    </row>
    <row r="41" spans="2:5" x14ac:dyDescent="0.2">
      <c r="B41" s="7" t="s">
        <v>31</v>
      </c>
      <c r="C41" s="27">
        <f>SUM(C38:C40)</f>
        <v>3028</v>
      </c>
      <c r="D41" s="27">
        <f>SUM(D38:D40)</f>
        <v>3000</v>
      </c>
      <c r="E41" s="13">
        <f t="shared" si="0"/>
        <v>28</v>
      </c>
    </row>
    <row r="42" spans="2:5" ht="12" thickBot="1" x14ac:dyDescent="0.25">
      <c r="B42" s="31" t="s">
        <v>32</v>
      </c>
      <c r="C42" s="32">
        <f>(C35)-(C41)</f>
        <v>230715.65000000002</v>
      </c>
      <c r="D42" s="32">
        <f>(D35)-(D41)</f>
        <v>270319</v>
      </c>
      <c r="E42" s="17">
        <f t="shared" si="0"/>
        <v>-39603.349999999977</v>
      </c>
    </row>
    <row r="43" spans="2:5" ht="12" thickBot="1" x14ac:dyDescent="0.25">
      <c r="B43" s="7"/>
      <c r="C43" s="30"/>
      <c r="D43" s="30"/>
      <c r="E43" s="8"/>
    </row>
    <row r="44" spans="2:5" x14ac:dyDescent="0.2">
      <c r="B44" s="23" t="s">
        <v>33</v>
      </c>
      <c r="C44" s="24"/>
      <c r="D44" s="24"/>
      <c r="E44" s="5"/>
    </row>
    <row r="45" spans="2:5" x14ac:dyDescent="0.2">
      <c r="B45" s="7" t="s">
        <v>34</v>
      </c>
      <c r="C45" s="25"/>
      <c r="D45" s="25"/>
      <c r="E45" s="6"/>
    </row>
    <row r="46" spans="2:5" x14ac:dyDescent="0.2">
      <c r="B46" s="7" t="s">
        <v>80</v>
      </c>
      <c r="C46" s="25">
        <v>0</v>
      </c>
      <c r="D46" s="33">
        <v>7000</v>
      </c>
      <c r="E46" s="11">
        <f t="shared" ref="E46:E56" si="1">C46-D46</f>
        <v>-7000</v>
      </c>
    </row>
    <row r="47" spans="2:5" x14ac:dyDescent="0.2">
      <c r="B47" s="7" t="s">
        <v>88</v>
      </c>
      <c r="C47" s="26">
        <f>78.71</f>
        <v>78.709999999999994</v>
      </c>
      <c r="D47" s="34">
        <v>1400</v>
      </c>
      <c r="E47" s="11">
        <f t="shared" si="1"/>
        <v>-1321.29</v>
      </c>
    </row>
    <row r="48" spans="2:5" x14ac:dyDescent="0.2">
      <c r="B48" s="7" t="s">
        <v>89</v>
      </c>
      <c r="C48" s="26">
        <f>4.86</f>
        <v>4.8600000000000003</v>
      </c>
      <c r="D48" s="34">
        <v>0</v>
      </c>
      <c r="E48" s="11">
        <f t="shared" si="1"/>
        <v>4.8600000000000003</v>
      </c>
    </row>
    <row r="49" spans="2:5" x14ac:dyDescent="0.2">
      <c r="B49" s="7" t="s">
        <v>87</v>
      </c>
      <c r="C49" s="26">
        <f>1527.99</f>
        <v>1527.99</v>
      </c>
      <c r="D49" s="34">
        <v>2400</v>
      </c>
      <c r="E49" s="11">
        <f t="shared" si="1"/>
        <v>-872.01</v>
      </c>
    </row>
    <row r="50" spans="2:5" x14ac:dyDescent="0.2">
      <c r="B50" s="7" t="s">
        <v>86</v>
      </c>
      <c r="C50" s="26">
        <v>0</v>
      </c>
      <c r="D50" s="4">
        <v>3000</v>
      </c>
      <c r="E50" s="11">
        <f t="shared" si="1"/>
        <v>-3000</v>
      </c>
    </row>
    <row r="51" spans="2:5" x14ac:dyDescent="0.2">
      <c r="B51" s="7" t="s">
        <v>85</v>
      </c>
      <c r="C51" s="26">
        <v>0</v>
      </c>
      <c r="D51" s="4">
        <v>300</v>
      </c>
      <c r="E51" s="11">
        <f t="shared" si="1"/>
        <v>-300</v>
      </c>
    </row>
    <row r="52" spans="2:5" x14ac:dyDescent="0.2">
      <c r="B52" s="7" t="s">
        <v>84</v>
      </c>
      <c r="C52" s="26">
        <v>3000</v>
      </c>
      <c r="D52" s="4">
        <v>3000</v>
      </c>
      <c r="E52" s="11">
        <f t="shared" si="1"/>
        <v>0</v>
      </c>
    </row>
    <row r="53" spans="2:5" x14ac:dyDescent="0.2">
      <c r="B53" s="7" t="s">
        <v>83</v>
      </c>
      <c r="C53" s="26">
        <v>0</v>
      </c>
      <c r="D53" s="4">
        <v>300</v>
      </c>
      <c r="E53" s="11">
        <f t="shared" si="1"/>
        <v>-300</v>
      </c>
    </row>
    <row r="54" spans="2:5" x14ac:dyDescent="0.2">
      <c r="B54" s="7" t="s">
        <v>82</v>
      </c>
      <c r="C54" s="26">
        <f>100.43</f>
        <v>100.43</v>
      </c>
      <c r="D54" s="34">
        <v>0</v>
      </c>
      <c r="E54" s="11">
        <f t="shared" si="1"/>
        <v>100.43</v>
      </c>
    </row>
    <row r="55" spans="2:5" x14ac:dyDescent="0.2">
      <c r="B55" s="7" t="s">
        <v>81</v>
      </c>
      <c r="C55" s="28">
        <v>0</v>
      </c>
      <c r="D55" s="35">
        <v>500</v>
      </c>
      <c r="E55" s="12">
        <f t="shared" si="1"/>
        <v>-500</v>
      </c>
    </row>
    <row r="56" spans="2:5" x14ac:dyDescent="0.2">
      <c r="B56" s="7" t="s">
        <v>35</v>
      </c>
      <c r="C56" s="15">
        <f>SUM(C46:C55)</f>
        <v>4711.99</v>
      </c>
      <c r="D56" s="16">
        <f>SUM(D46:D55)</f>
        <v>17900</v>
      </c>
      <c r="E56" s="8">
        <f t="shared" si="1"/>
        <v>-13188.01</v>
      </c>
    </row>
    <row r="57" spans="2:5" x14ac:dyDescent="0.2">
      <c r="B57" s="7" t="s">
        <v>36</v>
      </c>
      <c r="C57" s="25"/>
      <c r="D57" s="33"/>
      <c r="E57" s="6"/>
    </row>
    <row r="58" spans="2:5" x14ac:dyDescent="0.2">
      <c r="B58" s="7" t="s">
        <v>77</v>
      </c>
      <c r="C58" s="25">
        <v>0</v>
      </c>
      <c r="D58" s="33">
        <v>11000</v>
      </c>
      <c r="E58" s="11">
        <f t="shared" ref="E58:E70" si="2">C58-D58</f>
        <v>-11000</v>
      </c>
    </row>
    <row r="59" spans="2:5" x14ac:dyDescent="0.2">
      <c r="B59" s="7" t="s">
        <v>74</v>
      </c>
      <c r="C59" s="25">
        <v>0</v>
      </c>
      <c r="D59" s="33">
        <v>21630</v>
      </c>
      <c r="E59" s="11">
        <f t="shared" si="2"/>
        <v>-21630</v>
      </c>
    </row>
    <row r="60" spans="2:5" x14ac:dyDescent="0.2">
      <c r="B60" s="7" t="s">
        <v>75</v>
      </c>
      <c r="C60" s="25">
        <v>0</v>
      </c>
      <c r="D60" s="33">
        <v>59352</v>
      </c>
      <c r="E60" s="11">
        <f t="shared" si="2"/>
        <v>-59352</v>
      </c>
    </row>
    <row r="61" spans="2:5" x14ac:dyDescent="0.2">
      <c r="B61" s="7" t="s">
        <v>37</v>
      </c>
      <c r="C61" s="26">
        <f>300</f>
        <v>300</v>
      </c>
      <c r="D61" s="34">
        <f>34237+300</f>
        <v>34537</v>
      </c>
      <c r="E61" s="11">
        <f t="shared" si="2"/>
        <v>-34237</v>
      </c>
    </row>
    <row r="62" spans="2:5" x14ac:dyDescent="0.2">
      <c r="B62" s="7" t="s">
        <v>79</v>
      </c>
      <c r="C62" s="26">
        <f>11652.69-3000</f>
        <v>8652.69</v>
      </c>
      <c r="D62" s="34">
        <v>8700</v>
      </c>
      <c r="E62" s="11">
        <f t="shared" si="2"/>
        <v>-47.309999999999491</v>
      </c>
    </row>
    <row r="63" spans="2:5" x14ac:dyDescent="0.2">
      <c r="B63" s="7" t="s">
        <v>38</v>
      </c>
      <c r="C63" s="26">
        <f>8100</f>
        <v>8100</v>
      </c>
      <c r="D63" s="34">
        <v>8100</v>
      </c>
      <c r="E63" s="11">
        <f t="shared" si="2"/>
        <v>0</v>
      </c>
    </row>
    <row r="64" spans="2:5" x14ac:dyDescent="0.2">
      <c r="B64" s="7" t="s">
        <v>39</v>
      </c>
      <c r="C64" s="26">
        <f>10950</f>
        <v>10950</v>
      </c>
      <c r="D64" s="34">
        <v>6000</v>
      </c>
      <c r="E64" s="11">
        <f t="shared" si="2"/>
        <v>4950</v>
      </c>
    </row>
    <row r="65" spans="2:5" x14ac:dyDescent="0.2">
      <c r="B65" s="7" t="s">
        <v>91</v>
      </c>
      <c r="C65" s="26">
        <f>20000</f>
        <v>20000</v>
      </c>
      <c r="D65" s="34">
        <v>20000</v>
      </c>
      <c r="E65" s="11">
        <f t="shared" si="2"/>
        <v>0</v>
      </c>
    </row>
    <row r="66" spans="2:5" x14ac:dyDescent="0.2">
      <c r="B66" s="7" t="s">
        <v>40</v>
      </c>
      <c r="C66" s="26">
        <f>600</f>
        <v>600</v>
      </c>
      <c r="D66" s="34">
        <v>600</v>
      </c>
      <c r="E66" s="11">
        <f t="shared" si="2"/>
        <v>0</v>
      </c>
    </row>
    <row r="67" spans="2:5" x14ac:dyDescent="0.2">
      <c r="B67" s="7" t="s">
        <v>41</v>
      </c>
      <c r="C67" s="26">
        <f>6000</f>
        <v>6000</v>
      </c>
      <c r="D67" s="34">
        <v>11000</v>
      </c>
      <c r="E67" s="11">
        <f t="shared" si="2"/>
        <v>-5000</v>
      </c>
    </row>
    <row r="68" spans="2:5" x14ac:dyDescent="0.2">
      <c r="B68" s="7" t="s">
        <v>76</v>
      </c>
      <c r="C68" s="26">
        <v>0</v>
      </c>
      <c r="D68" s="34">
        <v>49000</v>
      </c>
      <c r="E68" s="11">
        <f t="shared" si="2"/>
        <v>-49000</v>
      </c>
    </row>
    <row r="69" spans="2:5" x14ac:dyDescent="0.2">
      <c r="B69" s="7" t="s">
        <v>70</v>
      </c>
      <c r="C69" s="26">
        <f>4000</f>
        <v>4000</v>
      </c>
      <c r="D69" s="34">
        <v>4000</v>
      </c>
      <c r="E69" s="12">
        <f t="shared" si="2"/>
        <v>0</v>
      </c>
    </row>
    <row r="70" spans="2:5" x14ac:dyDescent="0.2">
      <c r="B70" s="7" t="s">
        <v>42</v>
      </c>
      <c r="C70" s="27">
        <f>((((((((C57)+(C61))+(C62))+(C63))+(C64))+(C65))+(C66))+(C67))+(C69)</f>
        <v>58602.69</v>
      </c>
      <c r="D70" s="27">
        <f>SUM(D58:D69)</f>
        <v>233919</v>
      </c>
      <c r="E70" s="8">
        <f t="shared" si="2"/>
        <v>-175316.31</v>
      </c>
    </row>
    <row r="71" spans="2:5" x14ac:dyDescent="0.2">
      <c r="B71" s="7" t="s">
        <v>43</v>
      </c>
      <c r="C71" s="25"/>
      <c r="D71" s="25"/>
      <c r="E71" s="6"/>
    </row>
    <row r="72" spans="2:5" x14ac:dyDescent="0.2">
      <c r="B72" s="7" t="s">
        <v>44</v>
      </c>
      <c r="C72" s="26">
        <f>800</f>
        <v>800</v>
      </c>
      <c r="D72" s="26">
        <v>800</v>
      </c>
      <c r="E72" s="11">
        <f>C72-D72</f>
        <v>0</v>
      </c>
    </row>
    <row r="73" spans="2:5" x14ac:dyDescent="0.2">
      <c r="B73" s="7" t="s">
        <v>73</v>
      </c>
      <c r="C73" s="26">
        <v>0</v>
      </c>
      <c r="D73" s="26">
        <v>2000</v>
      </c>
      <c r="E73" s="11">
        <f>C73-D73</f>
        <v>-2000</v>
      </c>
    </row>
    <row r="74" spans="2:5" x14ac:dyDescent="0.2">
      <c r="B74" s="7" t="s">
        <v>72</v>
      </c>
      <c r="C74" s="26">
        <v>0</v>
      </c>
      <c r="D74" s="26">
        <v>500</v>
      </c>
      <c r="E74" s="11">
        <f>C74-D74</f>
        <v>-500</v>
      </c>
    </row>
    <row r="75" spans="2:5" x14ac:dyDescent="0.2">
      <c r="B75" s="7" t="s">
        <v>71</v>
      </c>
      <c r="C75" s="26">
        <v>0</v>
      </c>
      <c r="D75" s="26">
        <v>100</v>
      </c>
      <c r="E75" s="12">
        <f>C75-D75</f>
        <v>-100</v>
      </c>
    </row>
    <row r="76" spans="2:5" x14ac:dyDescent="0.2">
      <c r="B76" s="7" t="s">
        <v>45</v>
      </c>
      <c r="C76" s="27">
        <f>SUM(C72:C75)</f>
        <v>800</v>
      </c>
      <c r="D76" s="27">
        <f>SUM(D72:D75)</f>
        <v>3400</v>
      </c>
      <c r="E76" s="8">
        <f>C76-D76</f>
        <v>-2600</v>
      </c>
    </row>
    <row r="77" spans="2:5" x14ac:dyDescent="0.2">
      <c r="B77" s="7" t="s">
        <v>90</v>
      </c>
      <c r="C77" s="25"/>
      <c r="D77" s="25"/>
      <c r="E77" s="6"/>
    </row>
    <row r="78" spans="2:5" x14ac:dyDescent="0.2">
      <c r="B78" s="7" t="s">
        <v>46</v>
      </c>
      <c r="C78" s="26">
        <f>596.07</f>
        <v>596.07000000000005</v>
      </c>
      <c r="D78" s="26">
        <v>4000</v>
      </c>
      <c r="E78" s="11">
        <f>C78-D78</f>
        <v>-3403.93</v>
      </c>
    </row>
    <row r="79" spans="2:5" x14ac:dyDescent="0.2">
      <c r="B79" s="7" t="s">
        <v>69</v>
      </c>
      <c r="C79" s="26">
        <f>403</f>
        <v>403</v>
      </c>
      <c r="D79" s="26">
        <v>2000</v>
      </c>
      <c r="E79" s="12">
        <f>C79-D79</f>
        <v>-1597</v>
      </c>
    </row>
    <row r="80" spans="2:5" x14ac:dyDescent="0.2">
      <c r="B80" s="7" t="s">
        <v>68</v>
      </c>
      <c r="C80" s="27">
        <f>((C77)+(C78))+(C79)</f>
        <v>999.07</v>
      </c>
      <c r="D80" s="27">
        <f>((D77)+(D78))+(D79)</f>
        <v>6000</v>
      </c>
      <c r="E80" s="8">
        <f>C80-D80</f>
        <v>-5000.93</v>
      </c>
    </row>
    <row r="81" spans="2:5" x14ac:dyDescent="0.2">
      <c r="B81" s="7" t="s">
        <v>47</v>
      </c>
      <c r="C81" s="26"/>
      <c r="D81" s="26"/>
      <c r="E81" s="6"/>
    </row>
    <row r="82" spans="2:5" x14ac:dyDescent="0.2">
      <c r="B82" s="7" t="s">
        <v>48</v>
      </c>
      <c r="C82" s="26">
        <f>550.44</f>
        <v>550.44000000000005</v>
      </c>
      <c r="D82" s="26">
        <v>5000</v>
      </c>
      <c r="E82" s="11">
        <f>C82-D82</f>
        <v>-4449.5599999999995</v>
      </c>
    </row>
    <row r="83" spans="2:5" x14ac:dyDescent="0.2">
      <c r="B83" s="7" t="s">
        <v>67</v>
      </c>
      <c r="C83" s="26">
        <v>0</v>
      </c>
      <c r="D83" s="26">
        <v>500</v>
      </c>
      <c r="E83" s="11">
        <f t="shared" ref="E83:E89" si="3">C83-D83</f>
        <v>-500</v>
      </c>
    </row>
    <row r="84" spans="2:5" x14ac:dyDescent="0.2">
      <c r="B84" s="7" t="s">
        <v>49</v>
      </c>
      <c r="C84" s="26">
        <f>375</f>
        <v>375</v>
      </c>
      <c r="D84" s="26">
        <v>400</v>
      </c>
      <c r="E84" s="11">
        <f t="shared" si="3"/>
        <v>-25</v>
      </c>
    </row>
    <row r="85" spans="2:5" x14ac:dyDescent="0.2">
      <c r="B85" s="7" t="s">
        <v>50</v>
      </c>
      <c r="C85" s="26">
        <f>954.35</f>
        <v>954.35</v>
      </c>
      <c r="D85" s="26">
        <v>1000</v>
      </c>
      <c r="E85" s="11">
        <f t="shared" si="3"/>
        <v>-45.649999999999977</v>
      </c>
    </row>
    <row r="86" spans="2:5" x14ac:dyDescent="0.2">
      <c r="B86" s="7" t="s">
        <v>66</v>
      </c>
      <c r="C86" s="26">
        <v>584.88</v>
      </c>
      <c r="D86" s="26">
        <v>500</v>
      </c>
      <c r="E86" s="11">
        <f t="shared" si="3"/>
        <v>84.88</v>
      </c>
    </row>
    <row r="87" spans="2:5" x14ac:dyDescent="0.2">
      <c r="B87" s="7" t="s">
        <v>64</v>
      </c>
      <c r="C87" s="26">
        <f>311.41</f>
        <v>311.41000000000003</v>
      </c>
      <c r="D87" s="26">
        <v>500</v>
      </c>
      <c r="E87" s="11">
        <f t="shared" si="3"/>
        <v>-188.58999999999997</v>
      </c>
    </row>
    <row r="88" spans="2:5" x14ac:dyDescent="0.2">
      <c r="B88" s="7" t="s">
        <v>51</v>
      </c>
      <c r="C88" s="26">
        <f>134.32</f>
        <v>134.32</v>
      </c>
      <c r="D88" s="26">
        <v>500</v>
      </c>
      <c r="E88" s="11">
        <f t="shared" si="3"/>
        <v>-365.68</v>
      </c>
    </row>
    <row r="89" spans="2:5" x14ac:dyDescent="0.2">
      <c r="B89" s="7" t="s">
        <v>65</v>
      </c>
      <c r="C89" s="26">
        <v>0</v>
      </c>
      <c r="D89" s="26">
        <v>700</v>
      </c>
      <c r="E89" s="12">
        <f t="shared" si="3"/>
        <v>-700</v>
      </c>
    </row>
    <row r="90" spans="2:5" x14ac:dyDescent="0.2">
      <c r="B90" s="7" t="s">
        <v>52</v>
      </c>
      <c r="C90" s="27">
        <f>SUM(C82:C89)</f>
        <v>2910.4</v>
      </c>
      <c r="D90" s="27">
        <f>SUM(D82:D89)</f>
        <v>9100</v>
      </c>
      <c r="E90" s="13">
        <f>C90-D90</f>
        <v>-6189.6</v>
      </c>
    </row>
    <row r="91" spans="2:5" ht="12" thickBot="1" x14ac:dyDescent="0.25">
      <c r="B91" s="31" t="s">
        <v>53</v>
      </c>
      <c r="C91" s="32">
        <f>C90+C80+C76+C70+C56</f>
        <v>68024.150000000009</v>
      </c>
      <c r="D91" s="32">
        <f>D90+D80+D76+D70+D56</f>
        <v>270319</v>
      </c>
      <c r="E91" s="39">
        <f>C91-D91</f>
        <v>-202294.84999999998</v>
      </c>
    </row>
    <row r="92" spans="2:5" x14ac:dyDescent="0.2">
      <c r="B92" s="7" t="s">
        <v>54</v>
      </c>
      <c r="C92" s="30">
        <f>(C42)-(C91)</f>
        <v>162691.5</v>
      </c>
      <c r="D92" s="30">
        <f>(D42)-(D91)</f>
        <v>0</v>
      </c>
      <c r="E92" s="38">
        <f>C92-D92</f>
        <v>162691.5</v>
      </c>
    </row>
    <row r="93" spans="2:5" ht="12" thickBot="1" x14ac:dyDescent="0.25">
      <c r="B93" s="31" t="s">
        <v>55</v>
      </c>
      <c r="C93" s="32">
        <f>(C92)+(0)</f>
        <v>162691.5</v>
      </c>
      <c r="D93" s="32">
        <f>(D92)+(0)</f>
        <v>0</v>
      </c>
      <c r="E93" s="17">
        <f>C93-D93</f>
        <v>162691.5</v>
      </c>
    </row>
    <row r="94" spans="2:5" x14ac:dyDescent="0.2">
      <c r="B94" s="1"/>
      <c r="C94" s="36"/>
      <c r="D94" s="36"/>
    </row>
  </sheetData>
  <mergeCells count="3">
    <mergeCell ref="B2:E2"/>
    <mergeCell ref="B3:E3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Beth Jackson</cp:lastModifiedBy>
  <cp:lastPrinted>2015-12-02T22:56:38Z</cp:lastPrinted>
  <dcterms:created xsi:type="dcterms:W3CDTF">2015-12-01T04:39:30Z</dcterms:created>
  <dcterms:modified xsi:type="dcterms:W3CDTF">2015-12-02T22:58:05Z</dcterms:modified>
</cp:coreProperties>
</file>